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<sst xmlns="http://schemas.openxmlformats.org/spreadsheetml/2006/main" count="2034" uniqueCount="290">
  <si>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</si>
  <si>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</si>
  <si>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</si>
  <si>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</si>
  <si>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</si>
  <si>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</si>
  <si>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</si>
  <si>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</si>
  <si>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</si>
  <si>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</si>
  <si>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</si>
  <si>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</si>
  <si>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</si>
  <si>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</si>
  <si>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</si>
  <si>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</si>
  <si>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</si>
  <si>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</si>
  <si>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</si>
  <si>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</si>
  <si>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</si>
  <si>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</si>
  <si>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</si>
  <si>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</si>
  <si>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</si>
  <si>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</si>
  <si>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</si>
  <si>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</si>
  <si>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</si>
  <si>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</si>
  <si>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</si>
  <si>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</si>
  <si>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</si>
  <si>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</si>
  <si>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</si>
  <si>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</si>
  <si>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</si>
  <si>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</si>
  <si>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</si>
  <si>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</si>
  <si>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</si>
  <si>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</si>
  <si>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</si>
  <si>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</si>
  <si>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</si>
  <si>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</si>
  <si>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</si>
  <si>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</si>
  <si>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</si>
  <si>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</si>
  <si>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</si>
  <si>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</si>
  <si>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</si>
  <si>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</si>
  <si>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</si>
  <si>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</si>
  <si>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</si>
  <si>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</si>
  <si>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</si>
  <si>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</si>
  <si>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</si>
  <si>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</si>
  <si>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</si>
  <si>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</si>
  <si>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</si>
  <si>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</si>
  <si>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</si>
  <si>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</si>
  <si>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</si>
  <si>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</si>
  <si>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</si>
  <si>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</si>
  <si>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</si>
  <si>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</si>
  <si>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</si>
  <si>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</si>
  <si>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</si>
  <si>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</si>
  <si>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</si>
  <si>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</si>
  <si>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</si>
  <si>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</si>
  <si>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</si>
  <si>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</si>
  <si>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</si>
  <si>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</si>
  <si>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</si>
  <si>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</si>
  <si>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</si>
  <si>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</si>
  <si>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</si>
  <si>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</si>
  <si>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</si>
  <si>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</si>
  <si>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</si>
  <si>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</si>
  <si>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</si>
  <si>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</si>
  <si>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</si>
  <si>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</si>
  <si>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</si>
  <si>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</si>
  <si>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</si>
  <si>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</si>
  <si>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</si>
  <si>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</si>
  <si>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</si>
  <si>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</si>
  <si>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</si>
  <si>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</si>
  <si>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</si>
  <si>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</si>
  <si>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</si>
  <si>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</si>
  <si>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</si>
  <si>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</si>
  <si>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</si>
  <si>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</si>
  <si>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</si>
  <si>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</si>
  <si>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</si>
  <si>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</si>
  <si>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</si>
  <si>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</si>
  <si>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</si>
  <si>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</si>
  <si>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</si>
  <si>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</si>
  <si>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</si>
  <si>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</si>
  <si>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</si>
  <si>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</si>
  <si>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</si>
  <si>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</si>
  <si>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</si>
  <si>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</si>
  <si>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</si>
  <si>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</si>
  <si>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</si>
  <si>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</si>
  <si>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</si>
  <si>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</si>
  <si>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</si>
  <si>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</si>
  <si>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</si>
  <si>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</si>
  <si>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</si>
  <si>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</si>
  <si>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</si>
  <si>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</si>
  <si>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</si>
  <si>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</si>
  <si>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</si>
  <si>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</si>
  <si>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</si>
  <si>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</si>
  <si>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</si>
  <si>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</si>
  <si>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</si>
  <si>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</si>
  <si>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</si>
  <si>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</si>
  <si>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</si>
  <si>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</si>
  <si>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</si>
  <si>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</si>
  <si>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</si>
  <si>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</si>
  <si>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</si>
  <si>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</si>
  <si>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</si>
  <si>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</si>
  <si>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</si>
  <si>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</si>
  <si>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</si>
  <si>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</si>
  <si>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</si>
  <si>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</si>
  <si>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</si>
  <si>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</si>
  <si>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</si>
  <si>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</si>
  <si>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</si>
  <si>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</si>
  <si>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</si>
  <si>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</si>
  <si>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</si>
  <si>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</si>
  <si>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</si>
  <si>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</si>
  <si>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</si>
  <si>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</si>
  <si>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</si>
  <si>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</si>
  <si>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</si>
  <si>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</si>
  <si>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</si>
  <si>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</si>
  <si>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</si>
  <si>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</si>
  <si>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</si>
  <si>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</si>
  <si>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</si>
  <si>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</si>
  <si>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</si>
  <si>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</si>
  <si>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</si>
  <si>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</si>
  <si>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</si>
  <si>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</si>
  <si>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</si>
  <si>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</si>
  <si>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</si>
  <si>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</si>
  <si>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</si>
  <si>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</si>
  <si>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</si>
  <si>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</si>
  <si>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</si>
  <si>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</si>
  <si>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</si>
  <si>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</si>
  <si>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</si>
  <si>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</si>
  <si>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</si>
  <si>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</si>
  <si>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</si>
  <si>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</si>
  <si>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</si>
  <si>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</si>
  <si>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</si>
  <si>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</si>
  <si>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</si>
  <si>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</si>
  <si>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</si>
  <si>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</si>
  <si>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</si>
  <si>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</si>
  <si>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</si>
  <si>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</si>
  <si>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</si>
  <si>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</si>
  <si>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</si>
  <si>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</si>
  <si>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</si>
  <si>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</si>
  <si>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</si>
  <si>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</si>
  <si>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</si>
  <si>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</si>
  <si>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</si>
  <si>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</si>
  <si>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</si>
  <si>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</si>
  <si>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</si>
  <si>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</si>
  <si>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</si>
  <si>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</si>
  <si>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</si>
  <si>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</si>
  <si>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</si>
  <si>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</si>
  <si>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</si>
  <si>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</si>
  <si>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</si>
  <si>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</si>
  <si>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</si>
  <si>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</si>
  <si>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</si>
  <si>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</si>
  <si>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</si>
  <si>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</si>
  <si>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</si>
  <si>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</si>
  <si>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</si>
  <si>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</si>
  <si>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</si>
  <si>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</si>
  <si>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</si>
  <si>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</si>
  <si>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</si>
  <si>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</si>
  <si>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</si>
  <si>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</si>
  <si>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</si>
  <si>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</si>
  <si>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</si>
  <si>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</si>
  <si>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</si>
  <si>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10.10.14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</si>
</sst>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5271470.099999998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50" sqref="H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359906.54999999993</v>
      </c>
      <c r="G8" s="22">
        <f aca="true" t="shared" si="0" ref="G8:G30">F8-E8</f>
        <v>-31097.089999999967</v>
      </c>
      <c r="H8" s="51">
        <f>F8/E8*100</f>
        <v>92.04685409066781</v>
      </c>
      <c r="I8" s="36">
        <f aca="true" t="shared" si="1" ref="I8:I17">F8-D8</f>
        <v>-128569.75000000006</v>
      </c>
      <c r="J8" s="36">
        <f aca="true" t="shared" si="2" ref="J8:J14">F8/D8*100</f>
        <v>73.67942927834983</v>
      </c>
      <c r="K8" s="36">
        <f>F8-381548.5</f>
        <v>-21641.95000000007</v>
      </c>
      <c r="L8" s="136">
        <f>F8/381548.5</f>
        <v>0.9432786395438586</v>
      </c>
      <c r="M8" s="22">
        <f>M10+M19+M33+M56+M68+M30</f>
        <v>39644.799999999974</v>
      </c>
      <c r="N8" s="22">
        <f>N10+N19+N33+N56+N68+N30</f>
        <v>11616.499999999982</v>
      </c>
      <c r="O8" s="36">
        <f aca="true" t="shared" si="3" ref="O8:O71">N8-M8</f>
        <v>-28028.299999999992</v>
      </c>
      <c r="P8" s="36">
        <f>F8/M8*100</f>
        <v>907.8278866333042</v>
      </c>
      <c r="Q8" s="36">
        <f>N8-37261.3</f>
        <v>-25644.80000000002</v>
      </c>
      <c r="R8" s="134">
        <f>N8/37261.3</f>
        <v>0.3117577754936081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293252.91</v>
      </c>
      <c r="G9" s="22">
        <f t="shared" si="0"/>
        <v>293252.91</v>
      </c>
      <c r="H9" s="20"/>
      <c r="I9" s="56">
        <f t="shared" si="1"/>
        <v>-93760.29000000004</v>
      </c>
      <c r="J9" s="56">
        <f t="shared" si="2"/>
        <v>75.77336121868711</v>
      </c>
      <c r="K9" s="56"/>
      <c r="L9" s="135"/>
      <c r="M9" s="20">
        <f>M10+M17</f>
        <v>32246.599999999977</v>
      </c>
      <c r="N9" s="20">
        <f>N10+N17</f>
        <v>10639.229999999981</v>
      </c>
      <c r="O9" s="36">
        <f t="shared" si="3"/>
        <v>-21607.369999999995</v>
      </c>
      <c r="P9" s="56">
        <f>F9/M9*100</f>
        <v>909.4072243275266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293252.91</v>
      </c>
      <c r="G10" s="49">
        <f t="shared" si="0"/>
        <v>-26453.190000000002</v>
      </c>
      <c r="H10" s="40">
        <f aca="true" t="shared" si="4" ref="H10:H17">F10/E10*100</f>
        <v>91.72577876993901</v>
      </c>
      <c r="I10" s="56">
        <f t="shared" si="1"/>
        <v>-93760.29000000004</v>
      </c>
      <c r="J10" s="56">
        <f t="shared" si="2"/>
        <v>75.77336121868711</v>
      </c>
      <c r="K10" s="141">
        <f>F10-302092.5</f>
        <v>-8839.590000000026</v>
      </c>
      <c r="L10" s="142">
        <f>F10/302092.5</f>
        <v>0.9707387968916804</v>
      </c>
      <c r="M10" s="40">
        <f>E10-вересень!E10</f>
        <v>32246.599999999977</v>
      </c>
      <c r="N10" s="40">
        <f>F10-вересень!F10</f>
        <v>10639.229999999981</v>
      </c>
      <c r="O10" s="53">
        <f t="shared" si="3"/>
        <v>-21607.369999999995</v>
      </c>
      <c r="P10" s="56">
        <f aca="true" t="shared" si="5" ref="P10:P17">N10/M10*100</f>
        <v>32.99333883262108</v>
      </c>
      <c r="Q10" s="141">
        <f>N10-29418.1</f>
        <v>-18778.870000000017</v>
      </c>
      <c r="R10" s="142">
        <f>N10/29418.1</f>
        <v>0.3616559193149789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61949.61</v>
      </c>
      <c r="G33" s="49">
        <f aca="true" t="shared" si="14" ref="G33:G72">F33-E33</f>
        <v>-2586.229999999996</v>
      </c>
      <c r="H33" s="40">
        <f aca="true" t="shared" si="15" ref="H33:H67">F33/E33*100</f>
        <v>95.99256785067027</v>
      </c>
      <c r="I33" s="56">
        <f>F33-D33</f>
        <v>-31616.39</v>
      </c>
      <c r="J33" s="56">
        <f aca="true" t="shared" si="16" ref="J33:J72">F33/D33*100</f>
        <v>66.20953123998034</v>
      </c>
      <c r="K33" s="141">
        <f>F33-67415.8</f>
        <v>-5466.190000000002</v>
      </c>
      <c r="L33" s="142">
        <f>F33/67415.8</f>
        <v>0.9189182654511256</v>
      </c>
      <c r="M33" s="40">
        <f>E33-вересень!E33</f>
        <v>6833.699999999997</v>
      </c>
      <c r="N33" s="40">
        <f>F33-вересень!F33</f>
        <v>717.1500000000015</v>
      </c>
      <c r="O33" s="53">
        <f t="shared" si="3"/>
        <v>-6116.549999999996</v>
      </c>
      <c r="P33" s="56">
        <f aca="true" t="shared" si="17" ref="P33:P67">N33/M33*100</f>
        <v>10.494314939198409</v>
      </c>
      <c r="Q33" s="141">
        <f>N33-7002.6</f>
        <v>-6285.449999999999</v>
      </c>
      <c r="R33" s="142">
        <f>N33/7002.6</f>
        <v>0.10241196127152792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45079.58</v>
      </c>
      <c r="G55" s="144">
        <f t="shared" si="14"/>
        <v>-2325.959999999999</v>
      </c>
      <c r="H55" s="146">
        <f t="shared" si="15"/>
        <v>95.09348485430185</v>
      </c>
      <c r="I55" s="145">
        <f t="shared" si="18"/>
        <v>-25186.42</v>
      </c>
      <c r="J55" s="145">
        <f t="shared" si="16"/>
        <v>64.15560868698944</v>
      </c>
      <c r="K55" s="148">
        <f>F55-49156.62</f>
        <v>-4077.040000000001</v>
      </c>
      <c r="L55" s="149">
        <f>F55/49156.62</f>
        <v>0.9170602047089487</v>
      </c>
      <c r="M55" s="40">
        <f>E55-вересень!E55</f>
        <v>4933.700000000004</v>
      </c>
      <c r="N55" s="40">
        <f>F55-вересень!F55</f>
        <v>-341.8199999999997</v>
      </c>
      <c r="O55" s="148">
        <f t="shared" si="3"/>
        <v>-5275.520000000004</v>
      </c>
      <c r="P55" s="148">
        <f t="shared" si="17"/>
        <v>-6.928268844883139</v>
      </c>
      <c r="Q55" s="160">
        <f>N55-5343.11</f>
        <v>-5684.929999999999</v>
      </c>
      <c r="R55" s="161">
        <f>N55/5343.11</f>
        <v>-0.06397397770212475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1.51+5090.04</f>
        <v>5091.55</v>
      </c>
      <c r="G56" s="49">
        <f t="shared" si="14"/>
        <v>-574.9499999999998</v>
      </c>
      <c r="H56" s="40">
        <f t="shared" si="15"/>
        <v>89.85352510367952</v>
      </c>
      <c r="I56" s="56">
        <f t="shared" si="18"/>
        <v>-1768.4499999999998</v>
      </c>
      <c r="J56" s="56">
        <f t="shared" si="16"/>
        <v>74.22084548104957</v>
      </c>
      <c r="K56" s="56">
        <f>F56-5173.5</f>
        <v>-81.94999999999982</v>
      </c>
      <c r="L56" s="135">
        <f>F56/5173.5</f>
        <v>0.9841596598047744</v>
      </c>
      <c r="M56" s="40">
        <f>E56-вересень!E56</f>
        <v>553</v>
      </c>
      <c r="N56" s="40">
        <f>F56-вересень!F56</f>
        <v>248.01999999999953</v>
      </c>
      <c r="O56" s="53">
        <f t="shared" si="3"/>
        <v>-304.9800000000005</v>
      </c>
      <c r="P56" s="56">
        <f t="shared" si="17"/>
        <v>44.84990958408671</v>
      </c>
      <c r="Q56" s="56">
        <f>N56-479</f>
        <v>-230.98000000000047</v>
      </c>
      <c r="R56" s="135">
        <f>N56/479</f>
        <v>0.5177870563674312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10593.31</v>
      </c>
      <c r="G74" s="50">
        <f aca="true" t="shared" si="24" ref="G74:G92">F74-E74</f>
        <v>-3103.1900000000005</v>
      </c>
      <c r="H74" s="51">
        <f aca="true" t="shared" si="25" ref="H74:H87">F74/E74*100</f>
        <v>77.34318986602416</v>
      </c>
      <c r="I74" s="36">
        <f aca="true" t="shared" si="26" ref="I74:I92">F74-D74</f>
        <v>-7764.99</v>
      </c>
      <c r="J74" s="36">
        <f aca="true" t="shared" si="27" ref="J74:J92">F74/D74*100</f>
        <v>57.7031097650654</v>
      </c>
      <c r="K74" s="36">
        <f>F74-16325.3</f>
        <v>-5731.99</v>
      </c>
      <c r="L74" s="136">
        <f>F74/16325.3</f>
        <v>0.6488891475194942</v>
      </c>
      <c r="M74" s="22">
        <f>M77+M86+M88+M89+M94+M95+M96+M97+M99+M87+M104</f>
        <v>1516.5</v>
      </c>
      <c r="N74" s="22">
        <f>N77+N86+N88+N89+N94+N95+N96+N97+N99+N32+N104+N87+N103</f>
        <v>833.8770000000002</v>
      </c>
      <c r="O74" s="55">
        <f aca="true" t="shared" si="28" ref="O74:O92">N74-M74</f>
        <v>-682.6229999999998</v>
      </c>
      <c r="P74" s="36">
        <f>N74/M74*100</f>
        <v>54.98694362017805</v>
      </c>
      <c r="Q74" s="36">
        <f>N74-1739.9</f>
        <v>-906.0229999999999</v>
      </c>
      <c r="R74" s="136">
        <f>N74/1739.9</f>
        <v>0.4792671992643256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275.56</v>
      </c>
      <c r="G87" s="49">
        <f t="shared" si="24"/>
        <v>55.56</v>
      </c>
      <c r="H87" s="40">
        <f t="shared" si="25"/>
        <v>125.25454545454546</v>
      </c>
      <c r="I87" s="56">
        <f t="shared" si="26"/>
        <v>-224.44</v>
      </c>
      <c r="J87" s="56">
        <f t="shared" si="27"/>
        <v>55.11200000000001</v>
      </c>
      <c r="K87" s="56">
        <f>F87-222.2</f>
        <v>53.360000000000014</v>
      </c>
      <c r="L87" s="135">
        <f>F87/222.2</f>
        <v>1.2401440144014402</v>
      </c>
      <c r="M87" s="40">
        <f>E87-вересень!E87</f>
        <v>0</v>
      </c>
      <c r="N87" s="40">
        <f>F87-вересень!F87</f>
        <v>3.3100000000000023</v>
      </c>
      <c r="O87" s="53">
        <f t="shared" si="28"/>
        <v>3.3100000000000023</v>
      </c>
      <c r="P87" s="56" t="e">
        <f t="shared" si="29"/>
        <v>#DIV/0!</v>
      </c>
      <c r="Q87" s="56">
        <f>N87-11.9</f>
        <v>-8.589999999999998</v>
      </c>
      <c r="R87" s="135">
        <f>N87/11.9</f>
        <v>0.27815126050420186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102.82</v>
      </c>
      <c r="G89" s="49">
        <f t="shared" si="24"/>
        <v>-41.18000000000001</v>
      </c>
      <c r="H89" s="40">
        <f>F89/E89*100</f>
        <v>71.40277777777777</v>
      </c>
      <c r="I89" s="56">
        <f t="shared" si="26"/>
        <v>-72.18</v>
      </c>
      <c r="J89" s="56">
        <f t="shared" si="27"/>
        <v>58.754285714285714</v>
      </c>
      <c r="K89" s="56">
        <f>F89-137.6</f>
        <v>-34.78</v>
      </c>
      <c r="L89" s="135">
        <f>F89/137.6</f>
        <v>0.7472383720930232</v>
      </c>
      <c r="M89" s="40">
        <f>E89-вересень!E89</f>
        <v>15</v>
      </c>
      <c r="N89" s="40">
        <f>F89-вересень!F89</f>
        <v>4.86999999999999</v>
      </c>
      <c r="O89" s="53">
        <f t="shared" si="28"/>
        <v>-10.13000000000001</v>
      </c>
      <c r="P89" s="56">
        <f>N89/M89*100</f>
        <v>32.466666666666605</v>
      </c>
      <c r="Q89" s="56">
        <f>N89-14.4</f>
        <v>-9.53000000000001</v>
      </c>
      <c r="R89" s="135">
        <f>N89/14.4</f>
        <v>0.33819444444444374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5936.01</v>
      </c>
      <c r="G95" s="49">
        <f t="shared" si="31"/>
        <v>104.51000000000022</v>
      </c>
      <c r="H95" s="40">
        <f>F95/E95*100</f>
        <v>101.79216325130756</v>
      </c>
      <c r="I95" s="56">
        <f t="shared" si="32"/>
        <v>-1063.9899999999998</v>
      </c>
      <c r="J95" s="56">
        <f>F95/D95*100</f>
        <v>84.80014285714286</v>
      </c>
      <c r="K95" s="56">
        <f>F95-6170</f>
        <v>-233.98999999999978</v>
      </c>
      <c r="L95" s="135">
        <f>F95/6170</f>
        <v>0.9620761750405187</v>
      </c>
      <c r="M95" s="40">
        <f>E95-вересень!E95</f>
        <v>575</v>
      </c>
      <c r="N95" s="40">
        <f>F95-вересень!F95</f>
        <v>570.5900000000001</v>
      </c>
      <c r="O95" s="53">
        <f t="shared" si="33"/>
        <v>-4.4099999999998545</v>
      </c>
      <c r="P95" s="56">
        <f>N95/M95*100</f>
        <v>99.2330434782609</v>
      </c>
      <c r="Q95" s="56">
        <f>N95-652.5</f>
        <v>-81.90999999999985</v>
      </c>
      <c r="R95" s="135">
        <f>N95/652.5</f>
        <v>0.8744674329501918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817.32</v>
      </c>
      <c r="G96" s="49">
        <f t="shared" si="31"/>
        <v>-87.17999999999995</v>
      </c>
      <c r="H96" s="40">
        <f>F96/E96*100</f>
        <v>90.3615257048093</v>
      </c>
      <c r="I96" s="56">
        <f t="shared" si="32"/>
        <v>-382.67999999999995</v>
      </c>
      <c r="J96" s="56">
        <f>F96/D96*100</f>
        <v>68.11</v>
      </c>
      <c r="K96" s="56">
        <f>F96-930</f>
        <v>-112.67999999999995</v>
      </c>
      <c r="L96" s="135">
        <f>F96/930</f>
        <v>0.8788387096774194</v>
      </c>
      <c r="M96" s="40">
        <f>E96-вересень!E96</f>
        <v>110</v>
      </c>
      <c r="N96" s="40">
        <f>F96-вересень!F96</f>
        <v>34.940000000000055</v>
      </c>
      <c r="O96" s="53">
        <f t="shared" si="33"/>
        <v>-75.05999999999995</v>
      </c>
      <c r="P96" s="56">
        <f>N96/M96*100</f>
        <v>31.76363636363641</v>
      </c>
      <c r="Q96" s="56">
        <f>N96-134.5</f>
        <v>-99.55999999999995</v>
      </c>
      <c r="R96" s="135">
        <f>N96/134.5</f>
        <v>0.25977695167286285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3314</v>
      </c>
      <c r="G99" s="49">
        <f t="shared" si="31"/>
        <v>-23</v>
      </c>
      <c r="H99" s="40">
        <f>F99/E99*100</f>
        <v>99.31075816601738</v>
      </c>
      <c r="I99" s="56">
        <f t="shared" si="32"/>
        <v>-1258.6999999999998</v>
      </c>
      <c r="J99" s="56">
        <f>F99/D99*100</f>
        <v>72.47359328186849</v>
      </c>
      <c r="K99" s="56">
        <f>F99-3845.9</f>
        <v>-531.9000000000001</v>
      </c>
      <c r="L99" s="135">
        <f>F99/3845.9</f>
        <v>0.8616968719935516</v>
      </c>
      <c r="M99" s="40">
        <f>E99-вересень!E99</f>
        <v>330</v>
      </c>
      <c r="N99" s="40">
        <f>F99-вересень!F99</f>
        <v>220.16699999999992</v>
      </c>
      <c r="O99" s="53">
        <f t="shared" si="33"/>
        <v>-109.83300000000008</v>
      </c>
      <c r="P99" s="56">
        <f>N99/M99*100</f>
        <v>66.7172727272727</v>
      </c>
      <c r="Q99" s="56">
        <f>N99-434.7</f>
        <v>-214.53300000000007</v>
      </c>
      <c r="R99" s="135">
        <f>N99/434.7</f>
        <v>0.5064803312629398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813</v>
      </c>
      <c r="G102" s="144"/>
      <c r="H102" s="146"/>
      <c r="I102" s="145"/>
      <c r="J102" s="145"/>
      <c r="K102" s="148">
        <f>F102-647.5</f>
        <v>165.5</v>
      </c>
      <c r="L102" s="149">
        <f>F102/647.5</f>
        <v>1.2555984555984556</v>
      </c>
      <c r="M102" s="40">
        <f>E102-вересень!E102</f>
        <v>0</v>
      </c>
      <c r="N102" s="40">
        <f>F102-вересень!F102</f>
        <v>55.799999999999955</v>
      </c>
      <c r="O102" s="53"/>
      <c r="P102" s="60"/>
      <c r="Q102" s="60">
        <f>N102-103.3</f>
        <v>-47.50000000000004</v>
      </c>
      <c r="R102" s="138">
        <f>N102/103.3</f>
        <v>0.540174249757986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-45.519999999999996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19.98</v>
      </c>
      <c r="G105" s="49">
        <f>F105-E105</f>
        <v>-7.219999999999999</v>
      </c>
      <c r="H105" s="40">
        <f>F105/E105*100</f>
        <v>73.45588235294119</v>
      </c>
      <c r="I105" s="56">
        <f t="shared" si="34"/>
        <v>-25.02</v>
      </c>
      <c r="J105" s="56">
        <f aca="true" t="shared" si="36" ref="J105:J110">F105/D105*100</f>
        <v>44.4</v>
      </c>
      <c r="K105" s="56">
        <f>F105-17.2</f>
        <v>2.780000000000001</v>
      </c>
      <c r="L105" s="135">
        <f>F105/17.2</f>
        <v>1.1616279069767443</v>
      </c>
      <c r="M105" s="40">
        <f>E105-вересень!E105</f>
        <v>3</v>
      </c>
      <c r="N105" s="40">
        <f>F105-вересень!F105</f>
        <v>0.08000000000000185</v>
      </c>
      <c r="O105" s="53">
        <f t="shared" si="35"/>
        <v>-2.919999999999998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370520.2099999999</v>
      </c>
      <c r="G107" s="175">
        <f>F107-E107</f>
        <v>-34207.130000000005</v>
      </c>
      <c r="H107" s="51">
        <f>F107/E107*100</f>
        <v>91.54810495381903</v>
      </c>
      <c r="I107" s="36">
        <f t="shared" si="34"/>
        <v>-136359.39000000007</v>
      </c>
      <c r="J107" s="36">
        <f t="shared" si="36"/>
        <v>73.09826830671425</v>
      </c>
      <c r="K107" s="36">
        <f>F107-397893.6</f>
        <v>-27373.390000000072</v>
      </c>
      <c r="L107" s="136">
        <f>F107/397893.6</f>
        <v>0.9312042465623974</v>
      </c>
      <c r="M107" s="22">
        <f>M8+M74+M105+M106</f>
        <v>41164.299999999974</v>
      </c>
      <c r="N107" s="22">
        <f>N8+N74+N105+N106</f>
        <v>12450.456999999982</v>
      </c>
      <c r="O107" s="55">
        <f t="shared" si="35"/>
        <v>-28713.842999999993</v>
      </c>
      <c r="P107" s="36">
        <f>N107/M107*100</f>
        <v>30.245763926509113</v>
      </c>
      <c r="Q107" s="36">
        <f>N107-39005.1</f>
        <v>-26554.64300000002</v>
      </c>
      <c r="R107" s="136">
        <f>N107/39005.1</f>
        <v>0.31920074554353106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294070.23</v>
      </c>
      <c r="G108" s="153">
        <f>G10-G18+G96</f>
        <v>-26540.370000000003</v>
      </c>
      <c r="H108" s="72">
        <f>F108/E108*100</f>
        <v>91.72192996738099</v>
      </c>
      <c r="I108" s="52">
        <f t="shared" si="34"/>
        <v>-94142.97000000003</v>
      </c>
      <c r="J108" s="52">
        <f t="shared" si="36"/>
        <v>75.74967311776106</v>
      </c>
      <c r="K108" s="52">
        <f>F108-303111.5</f>
        <v>-9041.270000000019</v>
      </c>
      <c r="L108" s="137">
        <f>F108/303111.5</f>
        <v>0.9701718014657972</v>
      </c>
      <c r="M108" s="71">
        <f>M10-M18+M96</f>
        <v>32356.599999999977</v>
      </c>
      <c r="N108" s="71">
        <f>N10-N18+N96</f>
        <v>10674.169999999982</v>
      </c>
      <c r="O108" s="53">
        <f t="shared" si="35"/>
        <v>-21682.429999999993</v>
      </c>
      <c r="P108" s="52">
        <f>N108/M108*100</f>
        <v>32.98915831700484</v>
      </c>
      <c r="Q108" s="52">
        <f>N108-29552.7</f>
        <v>-18878.53000000002</v>
      </c>
      <c r="R108" s="137">
        <f>N108/29552.7</f>
        <v>0.3611910248471369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76449.97999999992</v>
      </c>
      <c r="G109" s="176">
        <f>F109-E109</f>
        <v>-7666.760000000009</v>
      </c>
      <c r="H109" s="72">
        <f>F109/E109*100</f>
        <v>90.88557164721313</v>
      </c>
      <c r="I109" s="52">
        <f t="shared" si="34"/>
        <v>-42216.42000000004</v>
      </c>
      <c r="J109" s="52">
        <f t="shared" si="36"/>
        <v>64.42428522311282</v>
      </c>
      <c r="K109" s="52">
        <f>F109-94782.1</f>
        <v>-18332.120000000083</v>
      </c>
      <c r="L109" s="137">
        <f>F109/94782.1</f>
        <v>0.8065866867267123</v>
      </c>
      <c r="M109" s="71">
        <f>M107-M108</f>
        <v>8807.699999999997</v>
      </c>
      <c r="N109" s="71">
        <f>N107-N108</f>
        <v>1776.2870000000003</v>
      </c>
      <c r="O109" s="53">
        <f t="shared" si="35"/>
        <v>-7031.412999999997</v>
      </c>
      <c r="P109" s="52">
        <f>N109/M109*100</f>
        <v>20.167433041543205</v>
      </c>
      <c r="Q109" s="52">
        <f>N109-9452.4</f>
        <v>-7676.112999999999</v>
      </c>
      <c r="R109" s="137">
        <f>N109/9452.4</f>
        <v>0.18791915280775257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294070.23</v>
      </c>
      <c r="G110" s="111">
        <f>F110-E110</f>
        <v>-21170.47000000003</v>
      </c>
      <c r="H110" s="72">
        <f>F110/E110*100</f>
        <v>93.28434748431911</v>
      </c>
      <c r="I110" s="81">
        <f t="shared" si="34"/>
        <v>-94142.97000000003</v>
      </c>
      <c r="J110" s="52">
        <f t="shared" si="36"/>
        <v>75.74967311776106</v>
      </c>
      <c r="K110" s="52"/>
      <c r="L110" s="137"/>
      <c r="M110" s="72">
        <f>E110-вересень!E110</f>
        <v>32356.600000000035</v>
      </c>
      <c r="N110" s="71">
        <f>N108</f>
        <v>10674.169999999982</v>
      </c>
      <c r="O110" s="63">
        <f t="shared" si="35"/>
        <v>-21682.43000000005</v>
      </c>
      <c r="P110" s="52">
        <f>N110/M110*100</f>
        <v>32.98915831700479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1191.77</v>
      </c>
      <c r="G115" s="49">
        <f t="shared" si="37"/>
        <v>-1815.23</v>
      </c>
      <c r="H115" s="40">
        <f aca="true" t="shared" si="39" ref="H115:H126">F115/E115*100</f>
        <v>39.63318922514134</v>
      </c>
      <c r="I115" s="60">
        <f t="shared" si="38"/>
        <v>-2479.73</v>
      </c>
      <c r="J115" s="60">
        <f aca="true" t="shared" si="40" ref="J115:J121">F115/D115*100</f>
        <v>32.4600299605066</v>
      </c>
      <c r="K115" s="60">
        <f>F115-3128</f>
        <v>-1936.23</v>
      </c>
      <c r="L115" s="138">
        <f>F115/3128</f>
        <v>0.3810006393861893</v>
      </c>
      <c r="M115" s="40">
        <f>E115-вересень!E115</f>
        <v>327.4000000000001</v>
      </c>
      <c r="N115" s="40">
        <f>F115-вересень!F115</f>
        <v>68.83999999999992</v>
      </c>
      <c r="O115" s="53">
        <f aca="true" t="shared" si="41" ref="O115:O126">N115-M115</f>
        <v>-258.5600000000002</v>
      </c>
      <c r="P115" s="60">
        <f>N115/M115*100</f>
        <v>21.02626756261451</v>
      </c>
      <c r="Q115" s="60">
        <f>N115-50.4</f>
        <v>18.43999999999992</v>
      </c>
      <c r="R115" s="138">
        <f>N115/50.4</f>
        <v>1.3658730158730144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253.57</v>
      </c>
      <c r="G116" s="49">
        <f t="shared" si="37"/>
        <v>31.069999999999993</v>
      </c>
      <c r="H116" s="40">
        <f t="shared" si="39"/>
        <v>113.96404494382023</v>
      </c>
      <c r="I116" s="60">
        <f t="shared" si="38"/>
        <v>-14.53000000000003</v>
      </c>
      <c r="J116" s="60">
        <f t="shared" si="40"/>
        <v>94.58038045505407</v>
      </c>
      <c r="K116" s="60">
        <f>F116-231.4</f>
        <v>22.169999999999987</v>
      </c>
      <c r="L116" s="138">
        <f>F116/231.4</f>
        <v>1.09580812445981</v>
      </c>
      <c r="M116" s="40">
        <f>E116-вересень!E116</f>
        <v>22</v>
      </c>
      <c r="N116" s="40">
        <f>F116-вересень!F116</f>
        <v>16.409999999999997</v>
      </c>
      <c r="O116" s="53">
        <f t="shared" si="41"/>
        <v>-5.590000000000003</v>
      </c>
      <c r="P116" s="60">
        <f>N116/M116*100</f>
        <v>74.59090909090908</v>
      </c>
      <c r="Q116" s="60">
        <f>N116-21.4</f>
        <v>-4.990000000000002</v>
      </c>
      <c r="R116" s="138">
        <f>N116/21.4</f>
        <v>0.7668224299065419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1445.3</v>
      </c>
      <c r="G117" s="62">
        <f t="shared" si="37"/>
        <v>-1784.2</v>
      </c>
      <c r="H117" s="72">
        <f t="shared" si="39"/>
        <v>44.75305774887753</v>
      </c>
      <c r="I117" s="61">
        <f t="shared" si="38"/>
        <v>-2494.3</v>
      </c>
      <c r="J117" s="61">
        <f t="shared" si="40"/>
        <v>36.68646563102853</v>
      </c>
      <c r="K117" s="61">
        <f>F117-33371</f>
        <v>-31925.7</v>
      </c>
      <c r="L117" s="139">
        <f>F117/3371</f>
        <v>0.4287451794719668</v>
      </c>
      <c r="M117" s="62">
        <f>M115+M116+M114</f>
        <v>349.4000000000001</v>
      </c>
      <c r="N117" s="38">
        <f>SUM(N114:N116)</f>
        <v>85.34999999999991</v>
      </c>
      <c r="O117" s="61">
        <f t="shared" si="41"/>
        <v>-264.0500000000002</v>
      </c>
      <c r="P117" s="61">
        <f>N117/M117*100</f>
        <v>24.42759015455063</v>
      </c>
      <c r="Q117" s="61">
        <f>N117-71.8</f>
        <v>13.549999999999912</v>
      </c>
      <c r="R117" s="139">
        <f>N117/71.8</f>
        <v>1.188718662952645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319.63</v>
      </c>
      <c r="G119" s="49">
        <f t="shared" si="37"/>
        <v>59.129999999999995</v>
      </c>
      <c r="H119" s="40">
        <f t="shared" si="39"/>
        <v>122.69865642994242</v>
      </c>
      <c r="I119" s="60">
        <f t="shared" si="38"/>
        <v>52.43000000000001</v>
      </c>
      <c r="J119" s="60">
        <f t="shared" si="40"/>
        <v>119.62200598802394</v>
      </c>
      <c r="K119" s="60">
        <f>F119-234.2</f>
        <v>85.43</v>
      </c>
      <c r="L119" s="138">
        <f>F119/234.2</f>
        <v>1.3647736976942784</v>
      </c>
      <c r="M119" s="40">
        <f>E119-вересень!E119</f>
        <v>73</v>
      </c>
      <c r="N119" s="40">
        <f>F119-вересень!F119</f>
        <v>5.480000000000018</v>
      </c>
      <c r="O119" s="53">
        <f>N119-M119</f>
        <v>-67.51999999999998</v>
      </c>
      <c r="P119" s="60">
        <f>N119/M119*100</f>
        <v>7.506849315068519</v>
      </c>
      <c r="Q119" s="60">
        <f>N119-59.7</f>
        <v>-54.219999999999985</v>
      </c>
      <c r="R119" s="138">
        <f>N119/59.7</f>
        <v>0.09179229480737049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61949.59</v>
      </c>
      <c r="G120" s="49">
        <f t="shared" si="37"/>
        <v>1936.989999999998</v>
      </c>
      <c r="H120" s="40">
        <f t="shared" si="39"/>
        <v>103.22763886250554</v>
      </c>
      <c r="I120" s="53">
        <f t="shared" si="38"/>
        <v>-10026.400000000009</v>
      </c>
      <c r="J120" s="60">
        <f t="shared" si="40"/>
        <v>86.06979910939744</v>
      </c>
      <c r="K120" s="60">
        <f>F120-58190.1</f>
        <v>3759.489999999998</v>
      </c>
      <c r="L120" s="138">
        <f>F120/58190.1</f>
        <v>1.0646070379669395</v>
      </c>
      <c r="M120" s="40">
        <f>E120-вересень!E120</f>
        <v>7500</v>
      </c>
      <c r="N120" s="40">
        <f>F120-вересень!F120</f>
        <v>2413.1299999999974</v>
      </c>
      <c r="O120" s="53">
        <f t="shared" si="41"/>
        <v>-5086.870000000003</v>
      </c>
      <c r="P120" s="60">
        <f aca="true" t="shared" si="42" ref="P120:P125">N120/M120*100</f>
        <v>32.17506666666663</v>
      </c>
      <c r="Q120" s="60">
        <f>N120-7531</f>
        <v>-5117.870000000003</v>
      </c>
      <c r="R120" s="138">
        <f>N120/7531</f>
        <v>0.3204262382153761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1754.76</v>
      </c>
      <c r="G121" s="49">
        <f t="shared" si="37"/>
        <v>-1444.64</v>
      </c>
      <c r="H121" s="40">
        <f t="shared" si="39"/>
        <v>54.846533725073456</v>
      </c>
      <c r="I121" s="60">
        <f t="shared" si="38"/>
        <v>-2995.24</v>
      </c>
      <c r="J121" s="60">
        <f t="shared" si="40"/>
        <v>36.94231578947368</v>
      </c>
      <c r="K121" s="60">
        <f>F121-1289.6</f>
        <v>465.1600000000001</v>
      </c>
      <c r="L121" s="138">
        <f>F121/1289.6</f>
        <v>1.3607009925558313</v>
      </c>
      <c r="M121" s="40">
        <f>E121-вересень!E121</f>
        <v>1476.4</v>
      </c>
      <c r="N121" s="40">
        <f>F121-вересень!F121</f>
        <v>0.029999999999972715</v>
      </c>
      <c r="O121" s="53">
        <f t="shared" si="41"/>
        <v>-1476.3700000000001</v>
      </c>
      <c r="P121" s="60">
        <f t="shared" si="42"/>
        <v>0.002031969655917957</v>
      </c>
      <c r="Q121" s="60">
        <f>N121-0</f>
        <v>0.029999999999972715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F122-22665.8</f>
        <v>-20021.95</v>
      </c>
      <c r="L122" s="138">
        <f>F122/22665.8</f>
        <v>0.11664490112857256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N122-361.9</f>
        <v>-111.28999999999985</v>
      </c>
      <c r="R122" s="138">
        <f>N122/361.9</f>
        <v>0.6924841116330482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1097.22</v>
      </c>
      <c r="G123" s="49">
        <f t="shared" si="37"/>
        <v>-523.5899999999999</v>
      </c>
      <c r="H123" s="40">
        <f t="shared" si="39"/>
        <v>67.69578173876025</v>
      </c>
      <c r="I123" s="60">
        <f t="shared" si="38"/>
        <v>-902.78</v>
      </c>
      <c r="J123" s="60">
        <f>F123/D123*100</f>
        <v>54.861000000000004</v>
      </c>
      <c r="K123" s="60">
        <f>F123-1722.8</f>
        <v>-625.5799999999999</v>
      </c>
      <c r="L123" s="138">
        <f>F123/1722.8</f>
        <v>0.636881820292547</v>
      </c>
      <c r="M123" s="40">
        <f>E123-вересень!E123</f>
        <v>189.58999999999992</v>
      </c>
      <c r="N123" s="40">
        <f>F123-вересень!F123</f>
        <v>22.309999999999945</v>
      </c>
      <c r="O123" s="53">
        <f t="shared" si="41"/>
        <v>-167.27999999999997</v>
      </c>
      <c r="P123" s="60">
        <f t="shared" si="42"/>
        <v>11.767498285774543</v>
      </c>
      <c r="Q123" s="60">
        <f>N123-62.5</f>
        <v>-40.190000000000055</v>
      </c>
      <c r="R123" s="138">
        <f>N123/62.5</f>
        <v>0.3569599999999991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67765.05</v>
      </c>
      <c r="G124" s="62">
        <f t="shared" si="37"/>
        <v>-14904.48999999999</v>
      </c>
      <c r="H124" s="72">
        <f t="shared" si="39"/>
        <v>81.97100165308771</v>
      </c>
      <c r="I124" s="61">
        <f t="shared" si="38"/>
        <v>-34305.270000000004</v>
      </c>
      <c r="J124" s="61">
        <f>F124/D124*100</f>
        <v>66.39055310103858</v>
      </c>
      <c r="K124" s="61">
        <f>F124-84102.5</f>
        <v>-16337.449999999997</v>
      </c>
      <c r="L124" s="139">
        <f>F124/84102.5</f>
        <v>0.805743586694807</v>
      </c>
      <c r="M124" s="62">
        <f>M120+M121+M122+M123+M119</f>
        <v>13887.79</v>
      </c>
      <c r="N124" s="62">
        <f>N120+N121+N122+N123+N119</f>
        <v>2691.559999999997</v>
      </c>
      <c r="O124" s="61">
        <f t="shared" si="41"/>
        <v>-11196.230000000003</v>
      </c>
      <c r="P124" s="61">
        <f t="shared" si="42"/>
        <v>19.380765406158915</v>
      </c>
      <c r="Q124" s="61">
        <f>N124-8015.1</f>
        <v>-5323.540000000003</v>
      </c>
      <c r="R124" s="139">
        <f>N124/8015.1</f>
        <v>0.33581115644221493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24.67</v>
      </c>
      <c r="G125" s="49">
        <f t="shared" si="37"/>
        <v>-6.489999999999998</v>
      </c>
      <c r="H125" s="40">
        <f t="shared" si="39"/>
        <v>79.17201540436457</v>
      </c>
      <c r="I125" s="60">
        <f t="shared" si="38"/>
        <v>-18.83</v>
      </c>
      <c r="J125" s="60">
        <f>F125/D125*100</f>
        <v>56.71264367816092</v>
      </c>
      <c r="K125" s="60">
        <f>F125-114</f>
        <v>-89.33</v>
      </c>
      <c r="L125" s="138">
        <f>F125/114</f>
        <v>0.21640350877192985</v>
      </c>
      <c r="M125" s="40">
        <f>E125-вересень!E125</f>
        <v>4</v>
      </c>
      <c r="N125" s="40">
        <f>F125-вересень!F125</f>
        <v>0.5</v>
      </c>
      <c r="O125" s="53">
        <f t="shared" si="41"/>
        <v>-3.5</v>
      </c>
      <c r="P125" s="60">
        <f t="shared" si="42"/>
        <v>12.5</v>
      </c>
      <c r="Q125" s="60">
        <f>N125-2.2</f>
        <v>-1.7000000000000002</v>
      </c>
      <c r="R125" s="138">
        <f>N125/2.2</f>
        <v>0.22727272727272727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7373.43</v>
      </c>
      <c r="G128" s="49">
        <f aca="true" t="shared" si="43" ref="G128:G135">F128-E128</f>
        <v>652.9300000000003</v>
      </c>
      <c r="H128" s="40">
        <f>F128/E128*100</f>
        <v>109.71549735882746</v>
      </c>
      <c r="I128" s="60">
        <f aca="true" t="shared" si="44" ref="I128:I135">F128-D128</f>
        <v>-1326.5699999999997</v>
      </c>
      <c r="J128" s="60">
        <f>F128/D128*100</f>
        <v>84.75206896551725</v>
      </c>
      <c r="K128" s="60">
        <f>F128-8728.7</f>
        <v>-1355.2700000000004</v>
      </c>
      <c r="L128" s="138">
        <f>F128/8728.7</f>
        <v>0.8447340382874884</v>
      </c>
      <c r="M128" s="40">
        <f>E128-вересень!E128</f>
        <v>2</v>
      </c>
      <c r="N128" s="40">
        <f>F128-вересень!F128</f>
        <v>4.550000000000182</v>
      </c>
      <c r="O128" s="53">
        <f aca="true" t="shared" si="45" ref="O128:O135">N128-M128</f>
        <v>2.550000000000182</v>
      </c>
      <c r="P128" s="60">
        <f>N128/M128*100</f>
        <v>227.5000000000091</v>
      </c>
      <c r="Q128" s="60">
        <f>N128-13.5</f>
        <v>-8.949999999999818</v>
      </c>
      <c r="R128" s="162">
        <f>N128/13.5</f>
        <v>0.3370370370370505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1.12</v>
      </c>
      <c r="G129" s="49">
        <f t="shared" si="43"/>
        <v>1.12</v>
      </c>
      <c r="H129" s="40"/>
      <c r="I129" s="60">
        <f t="shared" si="44"/>
        <v>1.12</v>
      </c>
      <c r="J129" s="60"/>
      <c r="K129" s="60">
        <f>F129-1.1</f>
        <v>0.020000000000000018</v>
      </c>
      <c r="L129" s="138">
        <f>F129/1.1</f>
        <v>1.0181818181818183</v>
      </c>
      <c r="M129" s="40">
        <f>E129-вересень!E129</f>
        <v>0</v>
      </c>
      <c r="N129" s="40">
        <f>F129-вересень!F129</f>
        <v>0.040000000000000036</v>
      </c>
      <c r="O129" s="53">
        <f t="shared" si="45"/>
        <v>0.040000000000000036</v>
      </c>
      <c r="P129" s="60"/>
      <c r="Q129" s="60">
        <f>N129-0.1</f>
        <v>-0.05999999999999997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7418.7</v>
      </c>
      <c r="G130" s="62">
        <f t="shared" si="43"/>
        <v>659.8400000000001</v>
      </c>
      <c r="H130" s="72">
        <f>F130/E130*100</f>
        <v>109.76259310001983</v>
      </c>
      <c r="I130" s="61">
        <f t="shared" si="44"/>
        <v>-1332.000000000001</v>
      </c>
      <c r="J130" s="61">
        <f>F130/D130*100</f>
        <v>84.77836058829578</v>
      </c>
      <c r="K130" s="61">
        <f>F130-8860.9</f>
        <v>-1442.1999999999998</v>
      </c>
      <c r="L130" s="139">
        <f>G130/8860.9</f>
        <v>0.07446647631730413</v>
      </c>
      <c r="M130" s="62">
        <f>M125+M128+M129+M127</f>
        <v>6</v>
      </c>
      <c r="N130" s="62">
        <f>N125+N128+N129+N127</f>
        <v>5.090000000000182</v>
      </c>
      <c r="O130" s="61">
        <f t="shared" si="45"/>
        <v>-0.9099999999998181</v>
      </c>
      <c r="P130" s="61">
        <f>N130/M130*100</f>
        <v>84.83333333333637</v>
      </c>
      <c r="Q130" s="61">
        <f>N130-24.5</f>
        <v>-19.40999999999982</v>
      </c>
      <c r="R130" s="137">
        <f>N130/24.5</f>
        <v>0.20775510204082376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76661.68</v>
      </c>
      <c r="G134" s="50">
        <f t="shared" si="43"/>
        <v>-16020.070000000007</v>
      </c>
      <c r="H134" s="51">
        <f>F134/E134*100</f>
        <v>82.71496815716147</v>
      </c>
      <c r="I134" s="36">
        <f t="shared" si="44"/>
        <v>-38128.94000000002</v>
      </c>
      <c r="J134" s="36">
        <f>F134/D134*100</f>
        <v>66.78392363417845</v>
      </c>
      <c r="K134" s="36">
        <f>F134-96362.3</f>
        <v>-19700.62000000001</v>
      </c>
      <c r="L134" s="136">
        <f>F134/96362.3</f>
        <v>0.795556768570281</v>
      </c>
      <c r="M134" s="31">
        <f>M117+M131+M124+M130+M133+M132</f>
        <v>14243.59</v>
      </c>
      <c r="N134" s="31">
        <f>N117+N131+N124+N130+N133+N132</f>
        <v>2782.7699999999973</v>
      </c>
      <c r="O134" s="36">
        <f t="shared" si="45"/>
        <v>-11460.820000000003</v>
      </c>
      <c r="P134" s="36">
        <f>N134/M134*100</f>
        <v>19.536998748208827</v>
      </c>
      <c r="Q134" s="36">
        <f>N134-8114</f>
        <v>-5331.230000000003</v>
      </c>
      <c r="R134" s="136">
        <f>N134/8114</f>
        <v>0.3429590830663048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447181.8899999999</v>
      </c>
      <c r="G135" s="50">
        <f t="shared" si="43"/>
        <v>-50227.20000000001</v>
      </c>
      <c r="H135" s="51">
        <f>F135/E135*100</f>
        <v>89.90223520040617</v>
      </c>
      <c r="I135" s="36">
        <f t="shared" si="44"/>
        <v>-174488.33000000007</v>
      </c>
      <c r="J135" s="36">
        <f>F135/D135*100</f>
        <v>71.93233254763271</v>
      </c>
      <c r="K135" s="36">
        <f>F135-494255.9</f>
        <v>-47074.010000000126</v>
      </c>
      <c r="L135" s="136">
        <f>F135/494255.9</f>
        <v>0.904757818773635</v>
      </c>
      <c r="M135" s="22">
        <f>M107+M134</f>
        <v>55407.88999999997</v>
      </c>
      <c r="N135" s="22">
        <f>N107+N134</f>
        <v>15233.226999999979</v>
      </c>
      <c r="O135" s="36">
        <f t="shared" si="45"/>
        <v>-40174.66299999999</v>
      </c>
      <c r="P135" s="36">
        <f>N135/M135*100</f>
        <v>27.492884136176247</v>
      </c>
      <c r="Q135" s="36">
        <f>N135-47119.1</f>
        <v>-31885.87300000002</v>
      </c>
      <c r="R135" s="136">
        <f>N135/47119.1</f>
        <v>0.32329197713878194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15</v>
      </c>
      <c r="D137" s="4" t="s">
        <v>118</v>
      </c>
    </row>
    <row r="138" spans="2:17" ht="31.5">
      <c r="B138" s="78" t="s">
        <v>154</v>
      </c>
      <c r="C138" s="39">
        <f>IF(O107&lt;0,ABS(O107/C137),0)</f>
        <v>1914.2561999999996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41922</v>
      </c>
      <c r="D139" s="39">
        <v>1359.5</v>
      </c>
      <c r="N139" s="194"/>
      <c r="O139" s="194"/>
    </row>
    <row r="140" spans="3:15" ht="15.75">
      <c r="C140" s="120">
        <v>41921</v>
      </c>
      <c r="D140" s="39">
        <v>896.9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41920</v>
      </c>
      <c r="D141" s="39">
        <v>749.5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113811.71867</v>
      </c>
      <c r="E143" s="80"/>
      <c r="F143" s="100" t="s">
        <v>147</v>
      </c>
      <c r="G143" s="190" t="s">
        <v>149</v>
      </c>
      <c r="H143" s="190"/>
      <c r="I143" s="116">
        <v>104791.12214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5271.470099999998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5271.470099999998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2014-10-13T08:48:30Z</cp:lastPrinted>
  <dcterms:created xsi:type="dcterms:W3CDTF">2003-07-28T11:27:56Z</dcterms:created>
  <dcterms:modified xsi:type="dcterms:W3CDTF">2014-10-13T08:58:02Z</dcterms:modified>
  <cp:category/>
  <cp:version/>
  <cp:contentType/>
  <cp:contentStatus/>
</cp:coreProperties>
</file>